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uben\Downloads\"/>
    </mc:Choice>
  </mc:AlternateContent>
  <xr:revisionPtr revIDLastSave="0" documentId="13_ncr:1_{31576DC9-7986-4635-9837-8E116EC3052D}" xr6:coauthVersionLast="36" xr6:coauthVersionMax="36" xr10:uidLastSave="{00000000-0000-0000-0000-000000000000}"/>
  <workbookProtection workbookAlgorithmName="SHA-512" workbookHashValue="Cw5X/HLD2DbNbhVIGrCfoR4XGRaaXUnXyr0Vnm6pZ/oS13fRmwwnodD6nZDjlDoR/fEZzeXzfURMIDWTptjaxA==" workbookSaltValue="U34l3sPzHAd+URNfwR97yg==" workbookSpinCount="100000" lockStructure="1"/>
  <bookViews>
    <workbookView xWindow="0" yWindow="0" windowWidth="28800" windowHeight="11025" xr2:uid="{CA943F36-D1C0-4A65-9DCC-98D846345E2B}"/>
  </bookViews>
  <sheets>
    <sheet name="calcolo" sheetId="1" r:id="rId1"/>
    <sheet name="Foglio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" i="1" l="1"/>
  <c r="J38" i="1" l="1"/>
  <c r="J39" i="1"/>
  <c r="L39" i="1"/>
  <c r="L47" i="1"/>
  <c r="L46" i="1"/>
  <c r="L45" i="1"/>
  <c r="J40" i="1" l="1"/>
  <c r="L40" i="1"/>
  <c r="J34" i="1"/>
  <c r="J33" i="1"/>
  <c r="J46" i="1"/>
  <c r="N46" i="1" s="1"/>
  <c r="J47" i="1"/>
  <c r="N47" i="1" s="1"/>
  <c r="J48" i="1"/>
  <c r="N48" i="1" s="1"/>
  <c r="J45" i="1"/>
  <c r="N45" i="1" s="1"/>
  <c r="L38" i="1"/>
  <c r="L41" i="1"/>
  <c r="L34" i="1"/>
  <c r="L33" i="1"/>
  <c r="L30" i="1"/>
  <c r="L29" i="1"/>
  <c r="L28" i="1"/>
  <c r="L27" i="1"/>
  <c r="H28" i="1"/>
  <c r="H29" i="1" s="1"/>
  <c r="G30" i="1" s="1"/>
  <c r="G28" i="1"/>
  <c r="L23" i="1"/>
  <c r="L22" i="1"/>
  <c r="L21" i="1"/>
  <c r="L20" i="1"/>
  <c r="H21" i="1"/>
  <c r="H22" i="1" s="1"/>
  <c r="N8" i="1"/>
  <c r="N12" i="1" s="1"/>
  <c r="J27" i="1" s="1"/>
  <c r="J41" i="1" l="1"/>
  <c r="N39" i="1"/>
  <c r="N38" i="1"/>
  <c r="N40" i="1"/>
  <c r="N41" i="1"/>
  <c r="N34" i="1"/>
  <c r="N33" i="1"/>
  <c r="J28" i="1"/>
  <c r="N28" i="1" s="1"/>
  <c r="J19" i="1"/>
  <c r="J20" i="1" s="1"/>
  <c r="J21" i="1" s="1"/>
  <c r="N21" i="1" s="1"/>
  <c r="G29" i="1"/>
  <c r="N19" i="1" l="1"/>
  <c r="N27" i="1"/>
  <c r="N20" i="1"/>
  <c r="J29" i="1"/>
  <c r="N29" i="1" s="1"/>
  <c r="J22" i="1"/>
  <c r="N22" i="1" s="1"/>
  <c r="J23" i="1" l="1"/>
  <c r="N23" i="1" s="1"/>
  <c r="J30" i="1"/>
  <c r="N30" i="1" s="1"/>
  <c r="N51" i="1" l="1"/>
  <c r="N52" i="1" l="1"/>
  <c r="N53" i="1" s="1"/>
  <c r="N55" i="1" s="1"/>
</calcChain>
</file>

<file path=xl/sharedStrings.xml><?xml version="1.0" encoding="utf-8"?>
<sst xmlns="http://schemas.openxmlformats.org/spreadsheetml/2006/main" count="62" uniqueCount="50">
  <si>
    <t>Percentuale di consumo residente</t>
  </si>
  <si>
    <t>Percentuale di consumo non residente</t>
  </si>
  <si>
    <t>Comune</t>
  </si>
  <si>
    <t>%</t>
  </si>
  <si>
    <t>SI</t>
  </si>
  <si>
    <t>LOANO</t>
  </si>
  <si>
    <t>ALBENGA</t>
  </si>
  <si>
    <t>VILLANOVA</t>
  </si>
  <si>
    <t>ANDORA</t>
  </si>
  <si>
    <t>LAIGUEGLIA</t>
  </si>
  <si>
    <t xml:space="preserve">BORGHETTO S.S. </t>
  </si>
  <si>
    <t>FINALE LIGURE</t>
  </si>
  <si>
    <t>GARLENDA</t>
  </si>
  <si>
    <t>Tariffa Agevolata</t>
  </si>
  <si>
    <t>Tariffa base</t>
  </si>
  <si>
    <t>Tariffa prima scaglione</t>
  </si>
  <si>
    <t>Tariffa secondo scaglione</t>
  </si>
  <si>
    <t>Tariffa terzo scaglione</t>
  </si>
  <si>
    <t>da</t>
  </si>
  <si>
    <t>a</t>
  </si>
  <si>
    <t>€/mc</t>
  </si>
  <si>
    <t>Domestico Residente</t>
  </si>
  <si>
    <t>Domestico Non Residente</t>
  </si>
  <si>
    <t>mc/anno/persona</t>
  </si>
  <si>
    <t>mc consumo</t>
  </si>
  <si>
    <t>Quota Variabile Depurazione</t>
  </si>
  <si>
    <t>Quota Variabile Fognatura</t>
  </si>
  <si>
    <t>Quota Fissa Depurazione</t>
  </si>
  <si>
    <t>Quota Fissa Fognatura</t>
  </si>
  <si>
    <t>Quota Fissa Acquedotto Domestico Residente</t>
  </si>
  <si>
    <t>Quota Fissa Acquedotto Domestico Non Residente</t>
  </si>
  <si>
    <t>Numero componenti nucleo familiari residenti</t>
  </si>
  <si>
    <t>Quota variabile</t>
  </si>
  <si>
    <t>Oneri di perequazione</t>
  </si>
  <si>
    <t>ui1</t>
  </si>
  <si>
    <t>ui2</t>
  </si>
  <si>
    <t>ui3</t>
  </si>
  <si>
    <t>ui4</t>
  </si>
  <si>
    <t>Quota fissa annuale</t>
  </si>
  <si>
    <t xml:space="preserve">Ipotesi di consumo in un anno pari a mc </t>
  </si>
  <si>
    <t>Totale</t>
  </si>
  <si>
    <t>Totale IVA inclusa</t>
  </si>
  <si>
    <t>IVA 10%</t>
  </si>
  <si>
    <t>Costo medio al mc</t>
  </si>
  <si>
    <t>Simulazione calcolo con tariffe in vigore al 01/01/2024</t>
  </si>
  <si>
    <t>Depurazione e fognatura</t>
  </si>
  <si>
    <t xml:space="preserve">n° nuclei </t>
  </si>
  <si>
    <t>Numero nuclei familiari residenti</t>
  </si>
  <si>
    <t>Numero nuclei familiari non residenti</t>
  </si>
  <si>
    <t>Compilare solo le caselle colorate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</si>
</sst>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.0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0" fillId="2" borderId="0" xfId="0" applyFill="1" applyProtection="1">
      <protection hidden="1"/>
    </xf>
    <xf numFmtId="0" fontId="5" fillId="2" borderId="0" xfId="0" applyFont="1" applyFill="1" applyProtection="1">
      <protection hidden="1"/>
    </xf>
    <xf numFmtId="0" fontId="3" fillId="2" borderId="0" xfId="0" applyFont="1" applyFill="1" applyProtection="1"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4" fillId="2" borderId="1" xfId="0" applyFont="1" applyFill="1" applyBorder="1" applyProtection="1">
      <protection hidden="1"/>
    </xf>
    <xf numFmtId="0" fontId="0" fillId="2" borderId="2" xfId="0" applyFill="1" applyBorder="1" applyProtection="1">
      <protection hidden="1"/>
    </xf>
    <xf numFmtId="0" fontId="0" fillId="2" borderId="3" xfId="0" applyFill="1" applyBorder="1" applyProtection="1">
      <protection hidden="1"/>
    </xf>
    <xf numFmtId="0" fontId="0" fillId="2" borderId="4" xfId="0" applyFill="1" applyBorder="1" applyProtection="1">
      <protection hidden="1"/>
    </xf>
    <xf numFmtId="0" fontId="0" fillId="2" borderId="0" xfId="0" applyFill="1" applyBorder="1" applyProtection="1">
      <protection hidden="1"/>
    </xf>
    <xf numFmtId="0" fontId="2" fillId="2" borderId="0" xfId="0" applyFont="1" applyFill="1" applyBorder="1" applyAlignment="1" applyProtection="1">
      <alignment horizontal="center"/>
      <protection hidden="1"/>
    </xf>
    <xf numFmtId="0" fontId="0" fillId="2" borderId="5" xfId="0" applyFill="1" applyBorder="1" applyProtection="1">
      <protection hidden="1"/>
    </xf>
    <xf numFmtId="0" fontId="4" fillId="2" borderId="4" xfId="0" applyFont="1" applyFill="1" applyBorder="1" applyProtection="1">
      <protection hidden="1"/>
    </xf>
    <xf numFmtId="0" fontId="2" fillId="2" borderId="0" xfId="0" applyFont="1" applyFill="1" applyBorder="1" applyProtection="1">
      <protection hidden="1"/>
    </xf>
    <xf numFmtId="0" fontId="2" fillId="2" borderId="0" xfId="0" applyFont="1" applyFill="1" applyBorder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alignment horizontal="center" vertical="center"/>
      <protection hidden="1"/>
    </xf>
    <xf numFmtId="0" fontId="3" fillId="2" borderId="0" xfId="0" applyFont="1" applyFill="1" applyBorder="1" applyAlignment="1" applyProtection="1">
      <alignment horizontal="center" vertical="center"/>
      <protection hidden="1"/>
    </xf>
    <xf numFmtId="44" fontId="0" fillId="2" borderId="5" xfId="1" applyFont="1" applyFill="1" applyBorder="1" applyProtection="1">
      <protection hidden="1"/>
    </xf>
    <xf numFmtId="0" fontId="0" fillId="2" borderId="6" xfId="0" applyFill="1" applyBorder="1" applyProtection="1">
      <protection hidden="1"/>
    </xf>
    <xf numFmtId="0" fontId="0" fillId="2" borderId="7" xfId="0" applyFill="1" applyBorder="1" applyProtection="1">
      <protection hidden="1"/>
    </xf>
    <xf numFmtId="0" fontId="0" fillId="2" borderId="7" xfId="0" applyFill="1" applyBorder="1" applyAlignment="1" applyProtection="1">
      <alignment horizontal="center" vertical="center"/>
      <protection hidden="1"/>
    </xf>
    <xf numFmtId="44" fontId="0" fillId="2" borderId="8" xfId="1" applyFont="1" applyFill="1" applyBorder="1" applyProtection="1">
      <protection hidden="1"/>
    </xf>
    <xf numFmtId="0" fontId="0" fillId="2" borderId="2" xfId="0" applyFill="1" applyBorder="1" applyAlignment="1" applyProtection="1">
      <alignment horizontal="center" vertical="center"/>
      <protection hidden="1"/>
    </xf>
    <xf numFmtId="164" fontId="0" fillId="2" borderId="0" xfId="0" applyNumberFormat="1" applyFill="1" applyBorder="1" applyProtection="1">
      <protection hidden="1"/>
    </xf>
    <xf numFmtId="164" fontId="0" fillId="2" borderId="7" xfId="0" applyNumberFormat="1" applyFill="1" applyBorder="1" applyProtection="1">
      <protection hidden="1"/>
    </xf>
    <xf numFmtId="0" fontId="0" fillId="2" borderId="8" xfId="0" applyFill="1" applyBorder="1" applyProtection="1">
      <protection hidden="1"/>
    </xf>
    <xf numFmtId="0" fontId="2" fillId="2" borderId="1" xfId="0" applyFont="1" applyFill="1" applyBorder="1" applyProtection="1">
      <protection hidden="1"/>
    </xf>
    <xf numFmtId="44" fontId="0" fillId="2" borderId="3" xfId="0" applyNumberFormat="1" applyFill="1" applyBorder="1" applyProtection="1">
      <protection hidden="1"/>
    </xf>
    <xf numFmtId="0" fontId="2" fillId="2" borderId="4" xfId="0" applyFont="1" applyFill="1" applyBorder="1" applyProtection="1">
      <protection hidden="1"/>
    </xf>
    <xf numFmtId="44" fontId="0" fillId="2" borderId="5" xfId="0" applyNumberFormat="1" applyFill="1" applyBorder="1" applyProtection="1">
      <protection hidden="1"/>
    </xf>
    <xf numFmtId="0" fontId="2" fillId="2" borderId="6" xfId="0" applyFont="1" applyFill="1" applyBorder="1" applyProtection="1">
      <protection hidden="1"/>
    </xf>
    <xf numFmtId="44" fontId="0" fillId="2" borderId="8" xfId="0" applyNumberFormat="1" applyFill="1" applyBorder="1" applyProtection="1">
      <protection hidden="1"/>
    </xf>
    <xf numFmtId="0" fontId="0" fillId="2" borderId="1" xfId="0" applyFill="1" applyBorder="1" applyProtection="1">
      <protection hidden="1"/>
    </xf>
    <xf numFmtId="0" fontId="0" fillId="2" borderId="5" xfId="0" applyFill="1" applyBorder="1" applyProtection="1">
      <protection locked="0"/>
    </xf>
    <xf numFmtId="1" fontId="0" fillId="2" borderId="0" xfId="0" applyNumberFormat="1" applyFill="1" applyBorder="1" applyProtection="1">
      <protection hidden="1"/>
    </xf>
    <xf numFmtId="9" fontId="0" fillId="2" borderId="0" xfId="0" applyNumberFormat="1" applyFill="1" applyBorder="1" applyProtection="1">
      <protection hidden="1"/>
    </xf>
    <xf numFmtId="0" fontId="3" fillId="2" borderId="7" xfId="0" applyFont="1" applyFill="1" applyBorder="1" applyProtection="1">
      <protection hidden="1"/>
    </xf>
    <xf numFmtId="0" fontId="0" fillId="3" borderId="3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5" fillId="3" borderId="0" xfId="0" applyFont="1" applyFill="1" applyProtection="1">
      <protection hidden="1"/>
    </xf>
    <xf numFmtId="0" fontId="2" fillId="2" borderId="0" xfId="0" applyFont="1" applyFill="1" applyBorder="1" applyAlignment="1" applyProtection="1">
      <alignment horizontal="center"/>
      <protection hidden="1"/>
    </xf>
    <xf numFmtId="0" fontId="3" fillId="0" borderId="0" xfId="0" applyFont="1"/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41413</xdr:colOff>
      <xdr:row>0</xdr:row>
      <xdr:rowOff>57978</xdr:rowOff>
    </xdr:from>
    <xdr:to>
      <xdr:col>13</xdr:col>
      <xdr:colOff>715231</xdr:colOff>
      <xdr:row>1</xdr:row>
      <xdr:rowOff>942533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E51CA757-F27B-46C9-A2EA-B1929302FD19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80152" y="57978"/>
          <a:ext cx="6554470" cy="10750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F52FE-62C1-48C2-9EB4-2A34D603761B}">
  <dimension ref="D2:N55"/>
  <sheetViews>
    <sheetView tabSelected="1" zoomScale="115" zoomScaleNormal="115" workbookViewId="0">
      <selection activeCell="N6" sqref="N6"/>
    </sheetView>
  </sheetViews>
  <sheetFormatPr defaultRowHeight="15" x14ac:dyDescent="0.25"/>
  <cols>
    <col min="1" max="7" width="9.140625" style="1"/>
    <col min="8" max="8" width="11" style="1" bestFit="1" customWidth="1"/>
    <col min="9" max="9" width="2.28515625" style="1" customWidth="1"/>
    <col min="10" max="10" width="14.5703125" style="1" customWidth="1"/>
    <col min="11" max="11" width="2.7109375" style="1" customWidth="1"/>
    <col min="12" max="12" width="11.7109375" style="1" customWidth="1"/>
    <col min="13" max="13" width="9.140625" style="1"/>
    <col min="14" max="14" width="12.85546875" style="1" customWidth="1"/>
    <col min="15" max="16384" width="9.140625" style="1"/>
  </cols>
  <sheetData>
    <row r="2" spans="4:14" ht="79.5" customHeight="1" x14ac:dyDescent="0.25"/>
    <row r="3" spans="4:14" ht="27.75" customHeight="1" x14ac:dyDescent="0.4">
      <c r="D3" s="2" t="s">
        <v>44</v>
      </c>
    </row>
    <row r="4" spans="4:14" ht="18" customHeight="1" x14ac:dyDescent="0.4">
      <c r="D4" s="40"/>
      <c r="E4" s="1" t="s">
        <v>49</v>
      </c>
    </row>
    <row r="5" spans="4:14" ht="12" customHeight="1" thickBot="1" x14ac:dyDescent="0.45">
      <c r="D5" s="2"/>
    </row>
    <row r="6" spans="4:14" x14ac:dyDescent="0.25">
      <c r="D6" s="32" t="s">
        <v>2</v>
      </c>
      <c r="E6" s="6"/>
      <c r="F6" s="6"/>
      <c r="G6" s="6"/>
      <c r="H6" s="6"/>
      <c r="I6" s="6"/>
      <c r="J6" s="6"/>
      <c r="K6" s="6"/>
      <c r="L6" s="6"/>
      <c r="M6" s="6"/>
      <c r="N6" s="37" t="s">
        <v>12</v>
      </c>
    </row>
    <row r="7" spans="4:14" x14ac:dyDescent="0.25">
      <c r="D7" s="8" t="s">
        <v>39</v>
      </c>
      <c r="E7" s="9"/>
      <c r="F7" s="9"/>
      <c r="G7" s="9"/>
      <c r="H7" s="9"/>
      <c r="I7" s="9"/>
      <c r="J7" s="9"/>
      <c r="K7" s="9"/>
      <c r="L7" s="9"/>
      <c r="M7" s="9"/>
      <c r="N7" s="33">
        <v>200</v>
      </c>
    </row>
    <row r="8" spans="4:14" x14ac:dyDescent="0.25">
      <c r="D8" s="8" t="s">
        <v>0</v>
      </c>
      <c r="E8" s="9"/>
      <c r="F8" s="9"/>
      <c r="G8" s="9"/>
      <c r="H8" s="9"/>
      <c r="I8" s="34"/>
      <c r="J8" s="9"/>
      <c r="K8" s="9"/>
      <c r="L8" s="38">
        <v>100</v>
      </c>
      <c r="M8" s="35" t="s">
        <v>3</v>
      </c>
      <c r="N8" s="11">
        <f>ROUND(+N7*L8/100,0)</f>
        <v>200</v>
      </c>
    </row>
    <row r="9" spans="4:14" x14ac:dyDescent="0.25">
      <c r="D9" s="8" t="s">
        <v>31</v>
      </c>
      <c r="E9" s="9"/>
      <c r="F9" s="9"/>
      <c r="G9" s="9"/>
      <c r="H9" s="9"/>
      <c r="I9" s="9"/>
      <c r="J9" s="9"/>
      <c r="K9" s="9"/>
      <c r="L9" s="9"/>
      <c r="M9" s="9"/>
      <c r="N9" s="39">
        <v>3</v>
      </c>
    </row>
    <row r="10" spans="4:14" x14ac:dyDescent="0.25">
      <c r="D10" s="8" t="s">
        <v>47</v>
      </c>
      <c r="E10" s="9"/>
      <c r="F10" s="9"/>
      <c r="G10" s="9"/>
      <c r="H10" s="9"/>
      <c r="I10" s="9"/>
      <c r="J10" s="9"/>
      <c r="K10" s="9"/>
      <c r="L10" s="9"/>
      <c r="M10" s="9"/>
      <c r="N10" s="39">
        <v>1</v>
      </c>
    </row>
    <row r="11" spans="4:14" x14ac:dyDescent="0.25">
      <c r="D11" s="8" t="s">
        <v>48</v>
      </c>
      <c r="E11" s="9"/>
      <c r="F11" s="9"/>
      <c r="G11" s="9"/>
      <c r="H11" s="9"/>
      <c r="I11" s="9"/>
      <c r="J11" s="9"/>
      <c r="K11" s="9"/>
      <c r="L11" s="9"/>
      <c r="M11" s="9"/>
      <c r="N11" s="39">
        <v>0</v>
      </c>
    </row>
    <row r="12" spans="4:14" x14ac:dyDescent="0.25">
      <c r="D12" s="8" t="s">
        <v>1</v>
      </c>
      <c r="E12" s="9"/>
      <c r="F12" s="9"/>
      <c r="G12" s="9"/>
      <c r="H12" s="9"/>
      <c r="I12" s="9"/>
      <c r="J12" s="9"/>
      <c r="K12" s="9"/>
      <c r="L12" s="9"/>
      <c r="M12" s="9"/>
      <c r="N12" s="11">
        <f>N7-N8</f>
        <v>0</v>
      </c>
    </row>
    <row r="13" spans="4:14" ht="15.75" thickBot="1" x14ac:dyDescent="0.3">
      <c r="D13" s="18"/>
      <c r="E13" s="19"/>
      <c r="F13" s="19"/>
      <c r="G13" s="19"/>
      <c r="H13" s="19"/>
      <c r="I13" s="19"/>
      <c r="J13" s="19"/>
      <c r="K13" s="19"/>
      <c r="L13" s="36" t="s">
        <v>4</v>
      </c>
      <c r="M13" s="19"/>
      <c r="N13" s="25"/>
    </row>
    <row r="14" spans="4:14" x14ac:dyDescent="0.25">
      <c r="L14" s="3" t="s">
        <v>4</v>
      </c>
    </row>
    <row r="15" spans="4:14" ht="15.75" thickBot="1" x14ac:dyDescent="0.3">
      <c r="L15" s="3"/>
    </row>
    <row r="16" spans="4:14" x14ac:dyDescent="0.25">
      <c r="D16" s="5" t="s">
        <v>32</v>
      </c>
      <c r="E16" s="6"/>
      <c r="F16" s="6"/>
      <c r="G16" s="6"/>
      <c r="H16" s="6"/>
      <c r="I16" s="6"/>
      <c r="J16" s="6"/>
      <c r="K16" s="6"/>
      <c r="L16" s="6"/>
      <c r="M16" s="6"/>
      <c r="N16" s="7"/>
    </row>
    <row r="17" spans="4:14" x14ac:dyDescent="0.25">
      <c r="D17" s="8"/>
      <c r="E17" s="9"/>
      <c r="F17" s="9"/>
      <c r="G17" s="41" t="s">
        <v>23</v>
      </c>
      <c r="H17" s="41"/>
      <c r="I17" s="10"/>
      <c r="J17" s="10"/>
      <c r="K17" s="9"/>
      <c r="L17" s="9"/>
      <c r="M17" s="9"/>
      <c r="N17" s="11"/>
    </row>
    <row r="18" spans="4:14" x14ac:dyDescent="0.25">
      <c r="D18" s="12" t="s">
        <v>21</v>
      </c>
      <c r="E18" s="13"/>
      <c r="F18" s="13"/>
      <c r="G18" s="14" t="s">
        <v>18</v>
      </c>
      <c r="H18" s="14" t="s">
        <v>19</v>
      </c>
      <c r="I18" s="14"/>
      <c r="J18" s="14" t="s">
        <v>24</v>
      </c>
      <c r="K18" s="13"/>
      <c r="L18" s="13" t="s">
        <v>20</v>
      </c>
      <c r="M18" s="9"/>
      <c r="N18" s="11"/>
    </row>
    <row r="19" spans="4:14" x14ac:dyDescent="0.25">
      <c r="D19" s="8" t="s">
        <v>13</v>
      </c>
      <c r="E19" s="9"/>
      <c r="F19" s="9"/>
      <c r="G19" s="15">
        <v>0</v>
      </c>
      <c r="H19" s="15">
        <v>30</v>
      </c>
      <c r="I19" s="15"/>
      <c r="J19" s="15">
        <f>IF($N$8-H19*$N$9&gt;0,H19*$N$9,$N$8)</f>
        <v>90</v>
      </c>
      <c r="K19" s="9"/>
      <c r="L19" s="9">
        <f>VLOOKUP($N$6,Foglio2!$C:$I,2,FALSE)</f>
        <v>0.37962000000000001</v>
      </c>
      <c r="M19" s="9"/>
      <c r="N19" s="11">
        <f>ROUND(J19*L19,2)</f>
        <v>34.17</v>
      </c>
    </row>
    <row r="20" spans="4:14" x14ac:dyDescent="0.25">
      <c r="D20" s="8" t="s">
        <v>14</v>
      </c>
      <c r="E20" s="9"/>
      <c r="F20" s="9"/>
      <c r="G20" s="15">
        <v>31</v>
      </c>
      <c r="H20" s="15">
        <v>50</v>
      </c>
      <c r="I20" s="15"/>
      <c r="J20" s="15">
        <f>IF($N$8-H20*$N$9&gt;0,(H20-H19)*$N$9,$N$8-SUM($J$19:J19))</f>
        <v>60</v>
      </c>
      <c r="K20" s="9"/>
      <c r="L20" s="9">
        <f>VLOOKUP($N$6,Foglio2!$C:$I,3,FALSE)</f>
        <v>0.75924000000000003</v>
      </c>
      <c r="M20" s="9"/>
      <c r="N20" s="11">
        <f t="shared" ref="N20:N23" si="0">ROUND(J20*L20,2)</f>
        <v>45.55</v>
      </c>
    </row>
    <row r="21" spans="4:14" x14ac:dyDescent="0.25">
      <c r="D21" s="8" t="s">
        <v>15</v>
      </c>
      <c r="E21" s="9"/>
      <c r="F21" s="9"/>
      <c r="G21" s="15">
        <v>51</v>
      </c>
      <c r="H21" s="15">
        <f>H20+17</f>
        <v>67</v>
      </c>
      <c r="I21" s="15"/>
      <c r="J21" s="15">
        <f>IF($N$8-H21*$N$9&gt;0,(H21-H20)*$N$9,$N$8-SUM($J$19:J20))</f>
        <v>50</v>
      </c>
      <c r="K21" s="9"/>
      <c r="L21" s="9">
        <f>VLOOKUP($N$6,Foglio2!$C:$I,4,FALSE)</f>
        <v>1.13903</v>
      </c>
      <c r="M21" s="9"/>
      <c r="N21" s="11">
        <f t="shared" si="0"/>
        <v>56.95</v>
      </c>
    </row>
    <row r="22" spans="4:14" x14ac:dyDescent="0.25">
      <c r="D22" s="8" t="s">
        <v>16</v>
      </c>
      <c r="E22" s="9"/>
      <c r="F22" s="9"/>
      <c r="G22" s="15">
        <v>68</v>
      </c>
      <c r="H22" s="15">
        <f>H21+17</f>
        <v>84</v>
      </c>
      <c r="I22" s="15"/>
      <c r="J22" s="15">
        <f>IF($N$8-H22*$N$9&gt;0,(H22-H21)*$N$9,$N$8-SUM($J$19:J21))</f>
        <v>0</v>
      </c>
      <c r="K22" s="9"/>
      <c r="L22" s="9">
        <f>VLOOKUP($N$6,Foglio2!$C:$I,5,FALSE)</f>
        <v>1.1677200000000001</v>
      </c>
      <c r="M22" s="9"/>
      <c r="N22" s="11">
        <f t="shared" si="0"/>
        <v>0</v>
      </c>
    </row>
    <row r="23" spans="4:14" x14ac:dyDescent="0.25">
      <c r="D23" s="8" t="s">
        <v>17</v>
      </c>
      <c r="E23" s="9"/>
      <c r="F23" s="9"/>
      <c r="G23" s="15">
        <v>85</v>
      </c>
      <c r="H23" s="16">
        <v>1000000000</v>
      </c>
      <c r="I23" s="15"/>
      <c r="J23" s="15">
        <f>IF($N$8-H23*$N$9&gt;0,(H23-H22)*$N$9,$N$8-SUM($J$19:J22))</f>
        <v>0</v>
      </c>
      <c r="K23" s="9"/>
      <c r="L23" s="9">
        <f>VLOOKUP($N$6,Foglio2!$C:$I,6,FALSE)</f>
        <v>1.3269599999999999</v>
      </c>
      <c r="M23" s="9"/>
      <c r="N23" s="11">
        <f t="shared" si="0"/>
        <v>0</v>
      </c>
    </row>
    <row r="24" spans="4:14" x14ac:dyDescent="0.25">
      <c r="D24" s="8"/>
      <c r="E24" s="9"/>
      <c r="F24" s="9"/>
      <c r="G24" s="9"/>
      <c r="H24" s="9"/>
      <c r="I24" s="9"/>
      <c r="J24" s="15"/>
      <c r="K24" s="9"/>
      <c r="L24" s="9"/>
      <c r="M24" s="9"/>
      <c r="N24" s="11"/>
    </row>
    <row r="25" spans="4:14" hidden="1" x14ac:dyDescent="0.25">
      <c r="D25" s="8"/>
      <c r="E25" s="9"/>
      <c r="F25" s="9"/>
      <c r="G25" s="9"/>
      <c r="H25" s="9"/>
      <c r="I25" s="9"/>
      <c r="J25" s="15"/>
      <c r="K25" s="9"/>
      <c r="L25" s="9"/>
      <c r="M25" s="9"/>
      <c r="N25" s="11"/>
    </row>
    <row r="26" spans="4:14" x14ac:dyDescent="0.25">
      <c r="D26" s="12" t="s">
        <v>22</v>
      </c>
      <c r="E26" s="13"/>
      <c r="F26" s="13"/>
      <c r="G26" s="14" t="s">
        <v>18</v>
      </c>
      <c r="H26" s="14" t="s">
        <v>19</v>
      </c>
      <c r="I26" s="14"/>
      <c r="J26" s="14" t="s">
        <v>24</v>
      </c>
      <c r="K26" s="13"/>
      <c r="L26" s="13" t="s">
        <v>20</v>
      </c>
      <c r="M26" s="9"/>
      <c r="N26" s="11"/>
    </row>
    <row r="27" spans="4:14" x14ac:dyDescent="0.25">
      <c r="D27" s="8" t="s">
        <v>14</v>
      </c>
      <c r="E27" s="9"/>
      <c r="F27" s="9"/>
      <c r="G27" s="15">
        <v>0</v>
      </c>
      <c r="H27" s="15">
        <v>90</v>
      </c>
      <c r="I27" s="15"/>
      <c r="J27" s="15">
        <f>IF($N$12-H27&gt;0,H27,$N$12)</f>
        <v>0</v>
      </c>
      <c r="K27" s="9"/>
      <c r="L27" s="9">
        <f>VLOOKUP($N$6,Foglio2!$C:$ZI,8,FALSE)</f>
        <v>0.75924000000000003</v>
      </c>
      <c r="M27" s="9"/>
      <c r="N27" s="17">
        <f t="shared" ref="N27:N34" si="1">ROUND(J27*L27,2)</f>
        <v>0</v>
      </c>
    </row>
    <row r="28" spans="4:14" x14ac:dyDescent="0.25">
      <c r="D28" s="8" t="s">
        <v>15</v>
      </c>
      <c r="E28" s="9"/>
      <c r="F28" s="9"/>
      <c r="G28" s="15">
        <f>H27+1</f>
        <v>91</v>
      </c>
      <c r="H28" s="15">
        <f>H27+60</f>
        <v>150</v>
      </c>
      <c r="I28" s="15"/>
      <c r="J28" s="15">
        <f>IF($N$12-H28&gt;0,(H28-H27),$N$12-SUM($J$27:J27))</f>
        <v>0</v>
      </c>
      <c r="K28" s="9"/>
      <c r="L28" s="9">
        <f>VLOOKUP($N$6,Foglio2!$C:$ZI,9,FALSE)</f>
        <v>1.19598</v>
      </c>
      <c r="M28" s="9"/>
      <c r="N28" s="17">
        <f t="shared" si="1"/>
        <v>0</v>
      </c>
    </row>
    <row r="29" spans="4:14" x14ac:dyDescent="0.25">
      <c r="D29" s="8" t="s">
        <v>16</v>
      </c>
      <c r="E29" s="9"/>
      <c r="F29" s="9"/>
      <c r="G29" s="15">
        <f t="shared" ref="G29:G30" si="2">H28+1</f>
        <v>151</v>
      </c>
      <c r="H29" s="15">
        <f>H28+50</f>
        <v>200</v>
      </c>
      <c r="I29" s="15"/>
      <c r="J29" s="15">
        <f>IF($N$12-H29&gt;0,(H29-H28),$N$12-SUM($J$27:J28))</f>
        <v>0</v>
      </c>
      <c r="K29" s="9"/>
      <c r="L29" s="9">
        <f>VLOOKUP($N$6,Foglio2!$C:$ZI,10,FALSE)</f>
        <v>1.22611</v>
      </c>
      <c r="M29" s="9"/>
      <c r="N29" s="17">
        <f t="shared" si="1"/>
        <v>0</v>
      </c>
    </row>
    <row r="30" spans="4:14" x14ac:dyDescent="0.25">
      <c r="D30" s="8" t="s">
        <v>17</v>
      </c>
      <c r="E30" s="9"/>
      <c r="F30" s="9"/>
      <c r="G30" s="15">
        <f t="shared" si="2"/>
        <v>201</v>
      </c>
      <c r="H30" s="16">
        <v>1000000000</v>
      </c>
      <c r="I30" s="15"/>
      <c r="J30" s="15">
        <f>IF($N$12-H30&gt;0,(H30-H29),$N$12-SUM($J$27:J29))</f>
        <v>0</v>
      </c>
      <c r="K30" s="9"/>
      <c r="L30" s="9">
        <f>VLOOKUP($N$6,Foglio2!$C:$ZI,11,FALSE)</f>
        <v>1.39331</v>
      </c>
      <c r="M30" s="9"/>
      <c r="N30" s="17">
        <f t="shared" si="1"/>
        <v>0</v>
      </c>
    </row>
    <row r="31" spans="4:14" x14ac:dyDescent="0.25">
      <c r="D31" s="8"/>
      <c r="E31" s="9"/>
      <c r="F31" s="9"/>
      <c r="G31" s="15"/>
      <c r="H31" s="16"/>
      <c r="I31" s="15"/>
      <c r="J31" s="15"/>
      <c r="K31" s="9"/>
      <c r="L31" s="9"/>
      <c r="M31" s="9"/>
      <c r="N31" s="17"/>
    </row>
    <row r="32" spans="4:14" x14ac:dyDescent="0.25">
      <c r="D32" s="12" t="s">
        <v>45</v>
      </c>
      <c r="E32" s="9"/>
      <c r="F32" s="9"/>
      <c r="G32" s="9"/>
      <c r="H32" s="9"/>
      <c r="I32" s="9"/>
      <c r="J32" s="15"/>
      <c r="K32" s="9"/>
      <c r="L32" s="9"/>
      <c r="M32" s="9"/>
      <c r="N32" s="17"/>
    </row>
    <row r="33" spans="4:14" x14ac:dyDescent="0.25">
      <c r="D33" s="8" t="s">
        <v>25</v>
      </c>
      <c r="E33" s="9"/>
      <c r="F33" s="9"/>
      <c r="G33" s="9"/>
      <c r="H33" s="9"/>
      <c r="I33" s="9"/>
      <c r="J33" s="15">
        <f>$N$7</f>
        <v>200</v>
      </c>
      <c r="K33" s="9"/>
      <c r="L33" s="9">
        <f>VLOOKUP($N$6,Foglio2!$C:$ZI,13,FALSE)</f>
        <v>0.3367</v>
      </c>
      <c r="M33" s="9"/>
      <c r="N33" s="17">
        <f t="shared" si="1"/>
        <v>67.34</v>
      </c>
    </row>
    <row r="34" spans="4:14" ht="15.75" thickBot="1" x14ac:dyDescent="0.3">
      <c r="D34" s="18" t="s">
        <v>26</v>
      </c>
      <c r="E34" s="19"/>
      <c r="F34" s="19"/>
      <c r="G34" s="19"/>
      <c r="H34" s="19"/>
      <c r="I34" s="19"/>
      <c r="J34" s="20">
        <f>$N$7</f>
        <v>200</v>
      </c>
      <c r="K34" s="19"/>
      <c r="L34" s="19">
        <f>VLOOKUP($N$6,Foglio2!$C:$ZI,15,FALSE)</f>
        <v>0.11652</v>
      </c>
      <c r="M34" s="19"/>
      <c r="N34" s="21">
        <f t="shared" si="1"/>
        <v>23.3</v>
      </c>
    </row>
    <row r="35" spans="4:14" ht="15.75" thickBot="1" x14ac:dyDescent="0.3">
      <c r="J35" s="4"/>
    </row>
    <row r="36" spans="4:14" x14ac:dyDescent="0.25">
      <c r="D36" s="5" t="s">
        <v>38</v>
      </c>
      <c r="E36" s="6"/>
      <c r="F36" s="6"/>
      <c r="G36" s="6"/>
      <c r="H36" s="6"/>
      <c r="I36" s="6"/>
      <c r="J36" s="22"/>
      <c r="K36" s="6"/>
      <c r="L36" s="6"/>
      <c r="M36" s="6"/>
      <c r="N36" s="7"/>
    </row>
    <row r="37" spans="4:14" x14ac:dyDescent="0.25">
      <c r="D37" s="8"/>
      <c r="E37" s="9"/>
      <c r="F37" s="9"/>
      <c r="G37" s="9"/>
      <c r="H37" s="9"/>
      <c r="I37" s="9"/>
      <c r="J37" s="14" t="s">
        <v>46</v>
      </c>
      <c r="K37" s="9"/>
      <c r="L37" s="9"/>
      <c r="M37" s="9"/>
      <c r="N37" s="11"/>
    </row>
    <row r="38" spans="4:14" x14ac:dyDescent="0.25">
      <c r="D38" s="8" t="s">
        <v>29</v>
      </c>
      <c r="E38" s="9"/>
      <c r="F38" s="9"/>
      <c r="G38" s="9"/>
      <c r="H38" s="9"/>
      <c r="I38" s="9"/>
      <c r="J38" s="15">
        <f>N10</f>
        <v>1</v>
      </c>
      <c r="K38" s="9"/>
      <c r="L38" s="23">
        <f>VLOOKUP($N$6,Foglio2!$C:$ZI,7,FALSE)</f>
        <v>32.5246</v>
      </c>
      <c r="M38" s="9"/>
      <c r="N38" s="17">
        <f t="shared" ref="N38:N41" si="3">ROUND(J38*L38,2)</f>
        <v>32.520000000000003</v>
      </c>
    </row>
    <row r="39" spans="4:14" x14ac:dyDescent="0.25">
      <c r="D39" s="8" t="s">
        <v>30</v>
      </c>
      <c r="E39" s="9"/>
      <c r="F39" s="9"/>
      <c r="G39" s="9"/>
      <c r="H39" s="9"/>
      <c r="I39" s="9"/>
      <c r="J39" s="15">
        <f>N11</f>
        <v>0</v>
      </c>
      <c r="K39" s="9"/>
      <c r="L39" s="23">
        <f>VLOOKUP($N$6,Foglio2!$C:$ZI,12,FALSE)</f>
        <v>136.3228</v>
      </c>
      <c r="M39" s="9"/>
      <c r="N39" s="17">
        <f t="shared" si="3"/>
        <v>0</v>
      </c>
    </row>
    <row r="40" spans="4:14" x14ac:dyDescent="0.25">
      <c r="D40" s="8" t="s">
        <v>27</v>
      </c>
      <c r="E40" s="9"/>
      <c r="F40" s="9"/>
      <c r="G40" s="9"/>
      <c r="H40" s="9"/>
      <c r="I40" s="9"/>
      <c r="J40" s="15">
        <f>J39+J38</f>
        <v>1</v>
      </c>
      <c r="K40" s="9"/>
      <c r="L40" s="23">
        <f>VLOOKUP($N$6,Foglio2!$C:$ZI,14,FALSE)</f>
        <v>1.31</v>
      </c>
      <c r="M40" s="9"/>
      <c r="N40" s="17">
        <f t="shared" si="3"/>
        <v>1.31</v>
      </c>
    </row>
    <row r="41" spans="4:14" ht="15.75" thickBot="1" x14ac:dyDescent="0.3">
      <c r="D41" s="18" t="s">
        <v>28</v>
      </c>
      <c r="E41" s="19"/>
      <c r="F41" s="19"/>
      <c r="G41" s="19"/>
      <c r="H41" s="19"/>
      <c r="I41" s="19"/>
      <c r="J41" s="20">
        <f>J38+J39</f>
        <v>1</v>
      </c>
      <c r="K41" s="19"/>
      <c r="L41" s="24">
        <f>VLOOKUP($N$6,Foglio2!$C:$ZI,16,FALSE)</f>
        <v>1.31</v>
      </c>
      <c r="M41" s="19"/>
      <c r="N41" s="21">
        <f t="shared" si="3"/>
        <v>1.31</v>
      </c>
    </row>
    <row r="42" spans="4:14" ht="15.75" thickBot="1" x14ac:dyDescent="0.3">
      <c r="J42" s="4"/>
    </row>
    <row r="43" spans="4:14" x14ac:dyDescent="0.25">
      <c r="D43" s="5" t="s">
        <v>33</v>
      </c>
      <c r="E43" s="6"/>
      <c r="F43" s="6"/>
      <c r="G43" s="6"/>
      <c r="H43" s="6"/>
      <c r="I43" s="6"/>
      <c r="J43" s="22"/>
      <c r="K43" s="6"/>
      <c r="L43" s="6"/>
      <c r="M43" s="6"/>
      <c r="N43" s="7"/>
    </row>
    <row r="44" spans="4:14" x14ac:dyDescent="0.25">
      <c r="D44" s="8"/>
      <c r="E44" s="9"/>
      <c r="F44" s="9"/>
      <c r="G44" s="9"/>
      <c r="H44" s="9"/>
      <c r="I44" s="9"/>
      <c r="J44" s="14" t="s">
        <v>24</v>
      </c>
      <c r="K44" s="9"/>
      <c r="L44" s="9"/>
      <c r="M44" s="9"/>
      <c r="N44" s="11"/>
    </row>
    <row r="45" spans="4:14" x14ac:dyDescent="0.25">
      <c r="D45" s="8" t="s">
        <v>34</v>
      </c>
      <c r="E45" s="9"/>
      <c r="F45" s="9"/>
      <c r="G45" s="9"/>
      <c r="H45" s="9"/>
      <c r="I45" s="9"/>
      <c r="J45" s="15">
        <f>$N$7</f>
        <v>200</v>
      </c>
      <c r="K45" s="9"/>
      <c r="L45" s="9">
        <f>0.006*3</f>
        <v>1.8000000000000002E-2</v>
      </c>
      <c r="M45" s="9"/>
      <c r="N45" s="17">
        <f>L45*J45</f>
        <v>3.6000000000000005</v>
      </c>
    </row>
    <row r="46" spans="4:14" x14ac:dyDescent="0.25">
      <c r="D46" s="8" t="s">
        <v>35</v>
      </c>
      <c r="E46" s="9"/>
      <c r="F46" s="9"/>
      <c r="G46" s="9"/>
      <c r="H46" s="9"/>
      <c r="I46" s="9"/>
      <c r="J46" s="15">
        <f>$N$7</f>
        <v>200</v>
      </c>
      <c r="K46" s="9"/>
      <c r="L46" s="9">
        <f>0.009*3</f>
        <v>2.6999999999999996E-2</v>
      </c>
      <c r="M46" s="9"/>
      <c r="N46" s="17">
        <f t="shared" ref="N46:N48" si="4">L46*J46</f>
        <v>5.3999999999999995</v>
      </c>
    </row>
    <row r="47" spans="4:14" x14ac:dyDescent="0.25">
      <c r="D47" s="8" t="s">
        <v>36</v>
      </c>
      <c r="E47" s="9"/>
      <c r="F47" s="9"/>
      <c r="G47" s="9"/>
      <c r="H47" s="9"/>
      <c r="I47" s="9"/>
      <c r="J47" s="15">
        <f>$N$7</f>
        <v>200</v>
      </c>
      <c r="K47" s="9"/>
      <c r="L47" s="9">
        <f>0.0179*3</f>
        <v>5.3699999999999998E-2</v>
      </c>
      <c r="M47" s="9"/>
      <c r="N47" s="17">
        <f t="shared" si="4"/>
        <v>10.74</v>
      </c>
    </row>
    <row r="48" spans="4:14" x14ac:dyDescent="0.25">
      <c r="D48" s="8" t="s">
        <v>37</v>
      </c>
      <c r="E48" s="9"/>
      <c r="F48" s="9"/>
      <c r="G48" s="9"/>
      <c r="H48" s="9"/>
      <c r="I48" s="9"/>
      <c r="J48" s="15">
        <f>$N$7</f>
        <v>200</v>
      </c>
      <c r="K48" s="9"/>
      <c r="L48" s="9">
        <v>0</v>
      </c>
      <c r="M48" s="9"/>
      <c r="N48" s="17">
        <f t="shared" si="4"/>
        <v>0</v>
      </c>
    </row>
    <row r="49" spans="4:14" ht="15.75" thickBot="1" x14ac:dyDescent="0.3">
      <c r="D49" s="18"/>
      <c r="E49" s="19"/>
      <c r="F49" s="19"/>
      <c r="G49" s="19"/>
      <c r="H49" s="19"/>
      <c r="I49" s="19"/>
      <c r="J49" s="19"/>
      <c r="K49" s="19"/>
      <c r="L49" s="19"/>
      <c r="M49" s="19"/>
      <c r="N49" s="25"/>
    </row>
    <row r="50" spans="4:14" ht="15.75" thickBot="1" x14ac:dyDescent="0.3"/>
    <row r="51" spans="4:14" x14ac:dyDescent="0.25">
      <c r="L51" s="26" t="s">
        <v>40</v>
      </c>
      <c r="M51" s="6"/>
      <c r="N51" s="27">
        <f>SUM(N18:N48)</f>
        <v>282.19000000000005</v>
      </c>
    </row>
    <row r="52" spans="4:14" x14ac:dyDescent="0.25">
      <c r="L52" s="28" t="s">
        <v>42</v>
      </c>
      <c r="M52" s="9"/>
      <c r="N52" s="29">
        <f>ROUND(N51*0.1,2)</f>
        <v>28.22</v>
      </c>
    </row>
    <row r="53" spans="4:14" x14ac:dyDescent="0.25">
      <c r="L53" s="28" t="s">
        <v>41</v>
      </c>
      <c r="M53" s="9"/>
      <c r="N53" s="29">
        <f>N51+N52</f>
        <v>310.41000000000008</v>
      </c>
    </row>
    <row r="54" spans="4:14" x14ac:dyDescent="0.25">
      <c r="L54" s="28"/>
      <c r="M54" s="9"/>
      <c r="N54" s="11"/>
    </row>
    <row r="55" spans="4:14" ht="15.75" thickBot="1" x14ac:dyDescent="0.3">
      <c r="L55" s="30" t="s">
        <v>43</v>
      </c>
      <c r="M55" s="19"/>
      <c r="N55" s="31">
        <f>IFERROR(N53/N7,N53)</f>
        <v>1.5520500000000004</v>
      </c>
    </row>
  </sheetData>
  <sheetProtection selectLockedCells="1"/>
  <mergeCells count="1">
    <mergeCell ref="G17:H17"/>
  </mergeCells>
  <dataValidations count="1">
    <dataValidation type="whole" allowBlank="1" showInputMessage="1" showErrorMessage="1" sqref="I8 L8" xr:uid="{90AF354B-030D-4CD3-9147-3B19E359BA84}">
      <formula1>0</formula1>
      <formula2>100</formula2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DFC114D-205B-47E1-A532-DD167A16EC6E}">
          <x14:formula1>
            <xm:f>Foglio2!$C$1:$C$8</xm:f>
          </x14:formula1>
          <xm:sqref>N6</xm:sqref>
        </x14:dataValidation>
        <x14:dataValidation type="list" allowBlank="1" showInputMessage="1" showErrorMessage="1" xr:uid="{89B28F19-4932-456B-A781-F28A3C83A00F}">
          <x14:formula1>
            <xm:f>Foglio2!$A$1:$A$2</xm:f>
          </x14:formula1>
          <xm:sqref>L13:L14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0866E-A202-4297-96DF-DDB91942C0B8}">
  <dimension ref="A1:R8"/>
  <sheetViews>
    <sheetView workbookViewId="0">
      <selection sqref="A1:XFD1048576"/>
    </sheetView>
  </sheetViews>
  <sheetFormatPr defaultRowHeight="15" x14ac:dyDescent="0.25"/>
  <cols>
    <col min="1" max="2" width="9.140625" style="42"/>
    <col min="3" max="3" width="13.85546875" style="42" customWidth="1"/>
    <col min="4" max="16384" width="9.140625" style="42"/>
  </cols>
  <sheetData>
    <row r="1" spans="1:18" x14ac:dyDescent="0.25">
      <c r="A1" s="42" t="s">
        <v>4</v>
      </c>
      <c r="C1" s="42" t="s">
        <v>5</v>
      </c>
      <c r="D1" s="42">
        <v>0.54369000000000001</v>
      </c>
      <c r="E1" s="42">
        <v>1.08738</v>
      </c>
      <c r="F1" s="42">
        <v>1.27779</v>
      </c>
      <c r="G1" s="42">
        <v>1.4603699999999999</v>
      </c>
      <c r="H1" s="42">
        <v>1.64286</v>
      </c>
      <c r="I1" s="42">
        <v>42.999600000000001</v>
      </c>
      <c r="J1" s="42">
        <v>1.08738</v>
      </c>
      <c r="K1" s="42">
        <v>1.7569600000000001</v>
      </c>
      <c r="L1" s="42">
        <v>2.0080100000000001</v>
      </c>
      <c r="M1" s="42">
        <v>2.2589299999999999</v>
      </c>
      <c r="N1" s="42">
        <v>145.423</v>
      </c>
      <c r="O1" s="42">
        <v>1.0129999999999999</v>
      </c>
      <c r="P1" s="42">
        <v>1.8108200000000001</v>
      </c>
      <c r="Q1" s="42">
        <v>0.76024000000000003</v>
      </c>
      <c r="R1" s="42">
        <v>1.8108200000000001</v>
      </c>
    </row>
    <row r="2" spans="1:18" x14ac:dyDescent="0.25">
      <c r="C2" s="42" t="s">
        <v>6</v>
      </c>
      <c r="D2" s="42">
        <v>0.44141000000000002</v>
      </c>
      <c r="E2" s="42">
        <v>0.88280999999999998</v>
      </c>
      <c r="F2" s="42">
        <v>1.4993700000000001</v>
      </c>
      <c r="G2" s="42">
        <v>1.7045300000000001</v>
      </c>
      <c r="H2" s="42">
        <v>1.82961</v>
      </c>
      <c r="I2" s="42">
        <v>36.012900000000002</v>
      </c>
      <c r="J2" s="42">
        <v>0.88280999999999998</v>
      </c>
      <c r="K2" s="42">
        <v>1.71357</v>
      </c>
      <c r="L2" s="42">
        <v>1.9480299999999999</v>
      </c>
      <c r="M2" s="42">
        <v>2.0909800000000001</v>
      </c>
      <c r="N2" s="42">
        <v>92.766099999999994</v>
      </c>
      <c r="O2" s="42">
        <v>1.14083</v>
      </c>
      <c r="P2" s="42">
        <v>1.8108200000000001</v>
      </c>
      <c r="Q2" s="42">
        <v>0.14008000000000001</v>
      </c>
      <c r="R2" s="42">
        <v>1.3080000000000001</v>
      </c>
    </row>
    <row r="3" spans="1:18" x14ac:dyDescent="0.25">
      <c r="C3" s="42" t="s">
        <v>7</v>
      </c>
      <c r="D3" s="42">
        <v>0.33688000000000001</v>
      </c>
      <c r="E3" s="42">
        <v>0.67376899999999995</v>
      </c>
      <c r="F3" s="42">
        <v>0.80850999999999995</v>
      </c>
      <c r="G3" s="42">
        <v>1.1660699999999999</v>
      </c>
      <c r="H3" s="42">
        <v>1.5218100000000001</v>
      </c>
      <c r="I3" s="42">
        <v>32.524700000000003</v>
      </c>
      <c r="J3" s="42">
        <v>0.58760999999999997</v>
      </c>
      <c r="K3" s="42">
        <v>0.84619</v>
      </c>
      <c r="L3" s="42">
        <v>1.1094200000000001</v>
      </c>
      <c r="M3" s="42">
        <v>1.4479</v>
      </c>
      <c r="N3" s="42">
        <v>56.184100000000001</v>
      </c>
      <c r="O3" s="42">
        <v>0.37922</v>
      </c>
      <c r="P3" s="42">
        <v>0</v>
      </c>
      <c r="Q3" s="42">
        <v>0.1363</v>
      </c>
      <c r="R3" s="42">
        <v>0</v>
      </c>
    </row>
    <row r="4" spans="1:18" x14ac:dyDescent="0.25">
      <c r="C4" s="42" t="s">
        <v>8</v>
      </c>
      <c r="D4" s="42">
        <v>0.48415000000000002</v>
      </c>
      <c r="E4" s="42">
        <v>0.96830000000000005</v>
      </c>
      <c r="F4" s="42">
        <v>1.1136999999999999</v>
      </c>
      <c r="G4" s="42">
        <v>1.4275800000000001</v>
      </c>
      <c r="H4" s="42">
        <v>1.6333899999999999</v>
      </c>
      <c r="I4" s="42">
        <v>27.064489999999999</v>
      </c>
      <c r="J4" s="42">
        <v>0.96860000000000002</v>
      </c>
      <c r="K4" s="42">
        <v>1.2807599999999999</v>
      </c>
      <c r="L4" s="42">
        <v>1.49247</v>
      </c>
      <c r="M4" s="42">
        <v>1.70764</v>
      </c>
      <c r="N4" s="42">
        <v>115.10380000000001</v>
      </c>
      <c r="O4" s="42">
        <v>0.38423000000000002</v>
      </c>
      <c r="P4" s="42">
        <v>0</v>
      </c>
      <c r="Q4" s="42">
        <v>0.13064000000000001</v>
      </c>
      <c r="R4" s="42">
        <v>0</v>
      </c>
    </row>
    <row r="5" spans="1:18" x14ac:dyDescent="0.25">
      <c r="C5" s="42" t="s">
        <v>9</v>
      </c>
      <c r="D5" s="42">
        <v>0.53352999999999995</v>
      </c>
      <c r="E5" s="42">
        <v>1.06707</v>
      </c>
      <c r="F5" s="42">
        <v>1.2273000000000001</v>
      </c>
      <c r="G5" s="42">
        <v>1.5731900000000001</v>
      </c>
      <c r="H5" s="42">
        <v>1.8</v>
      </c>
      <c r="I5" s="42">
        <v>29.825099999999999</v>
      </c>
      <c r="J5" s="42">
        <v>1.06707</v>
      </c>
      <c r="K5" s="42">
        <v>1.4113899999999999</v>
      </c>
      <c r="L5" s="42">
        <v>1.6447000000000001</v>
      </c>
      <c r="M5" s="42">
        <v>1.88181</v>
      </c>
      <c r="N5" s="42">
        <v>126.84439999999999</v>
      </c>
      <c r="O5" s="42">
        <v>0.37922</v>
      </c>
      <c r="P5" s="42">
        <v>0</v>
      </c>
      <c r="Q5" s="42">
        <v>0.14402999999999999</v>
      </c>
      <c r="R5" s="42">
        <v>0</v>
      </c>
    </row>
    <row r="6" spans="1:18" x14ac:dyDescent="0.25">
      <c r="C6" s="42" t="s">
        <v>10</v>
      </c>
      <c r="D6" s="42">
        <v>0.20521</v>
      </c>
      <c r="E6" s="42">
        <v>0.41389999999999999</v>
      </c>
      <c r="F6" s="42">
        <v>0.85992000000000002</v>
      </c>
      <c r="G6" s="42">
        <v>1.1334500000000001</v>
      </c>
      <c r="H6" s="42">
        <v>1.23116</v>
      </c>
      <c r="I6" s="42">
        <v>9.0540900000000004</v>
      </c>
      <c r="J6" s="42">
        <v>0.41038999999999998</v>
      </c>
      <c r="K6" s="42">
        <v>0.85992000000000002</v>
      </c>
      <c r="L6" s="42">
        <v>1.1334500000000001</v>
      </c>
      <c r="M6" s="42">
        <v>1.7009000000000001</v>
      </c>
      <c r="N6" s="42">
        <v>19.227599999999999</v>
      </c>
      <c r="O6" s="42">
        <v>1.0129999999999999</v>
      </c>
      <c r="P6" s="42">
        <v>1.8108200000000001</v>
      </c>
      <c r="Q6" s="42">
        <v>0.76024000000000003</v>
      </c>
      <c r="R6" s="42">
        <v>1.8108200000000001</v>
      </c>
    </row>
    <row r="7" spans="1:18" x14ac:dyDescent="0.25">
      <c r="C7" s="42" t="s">
        <v>11</v>
      </c>
      <c r="D7" s="42">
        <v>0.45384000000000002</v>
      </c>
      <c r="E7" s="42">
        <v>0.90766999999999998</v>
      </c>
      <c r="F7" s="42">
        <v>1.3908499999999999</v>
      </c>
      <c r="G7" s="42">
        <v>1.5823100000000001</v>
      </c>
      <c r="H7" s="42">
        <v>1.77284</v>
      </c>
      <c r="I7" s="42">
        <v>37.456099999999999</v>
      </c>
      <c r="J7" s="42">
        <v>0.90766999999999998</v>
      </c>
      <c r="K7" s="42">
        <v>1.5233000000000001</v>
      </c>
      <c r="L7" s="42">
        <v>1.6542399999999999</v>
      </c>
      <c r="M7" s="42">
        <v>1.8534299999999999</v>
      </c>
      <c r="N7" s="42">
        <v>97.385800000000003</v>
      </c>
      <c r="O7" s="42">
        <v>1.0411999999999999</v>
      </c>
      <c r="P7" s="42">
        <v>0</v>
      </c>
      <c r="Q7" s="42">
        <v>0.25359999999999999</v>
      </c>
      <c r="R7" s="42">
        <v>0</v>
      </c>
    </row>
    <row r="8" spans="1:18" x14ac:dyDescent="0.25">
      <c r="C8" s="42" t="s">
        <v>12</v>
      </c>
      <c r="D8" s="42">
        <v>0.37962000000000001</v>
      </c>
      <c r="E8" s="42">
        <v>0.75924000000000003</v>
      </c>
      <c r="F8" s="42">
        <v>1.13903</v>
      </c>
      <c r="G8" s="42">
        <v>1.1677200000000001</v>
      </c>
      <c r="H8" s="42">
        <v>1.3269599999999999</v>
      </c>
      <c r="I8" s="42">
        <v>32.5246</v>
      </c>
      <c r="J8" s="42">
        <v>0.75924000000000003</v>
      </c>
      <c r="K8" s="42">
        <v>1.19598</v>
      </c>
      <c r="L8" s="42">
        <v>1.22611</v>
      </c>
      <c r="M8" s="42">
        <v>1.39331</v>
      </c>
      <c r="N8" s="42">
        <v>136.3228</v>
      </c>
      <c r="O8" s="42">
        <v>0.3367</v>
      </c>
      <c r="P8" s="42">
        <v>1.31</v>
      </c>
      <c r="Q8" s="42">
        <v>0.11652</v>
      </c>
      <c r="R8" s="42">
        <v>1.31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calcolo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</dc:creator>
  <cp:lastModifiedBy>Ruben</cp:lastModifiedBy>
  <dcterms:created xsi:type="dcterms:W3CDTF">2024-07-16T10:17:55Z</dcterms:created>
  <dcterms:modified xsi:type="dcterms:W3CDTF">2024-07-19T11:37:59Z</dcterms:modified>
</cp:coreProperties>
</file>